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celroy/Desktop/Papers &amp; Pitches (Newer Sustainability) 6.1.25/Externalized Costs Proposals/3-Company Illustration/"/>
    </mc:Choice>
  </mc:AlternateContent>
  <xr:revisionPtr revIDLastSave="0" documentId="8_{47078285-9858-9849-BC59-70A8F07373E3}" xr6:coauthVersionLast="47" xr6:coauthVersionMax="47" xr10:uidLastSave="{00000000-0000-0000-0000-000000000000}"/>
  <bookViews>
    <workbookView xWindow="0" yWindow="760" windowWidth="30240" windowHeight="17960" xr2:uid="{336B86ED-6F62-2E45-9318-9BC525E20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F9" i="1" s="1"/>
  <c r="H9" i="1" s="1"/>
  <c r="E8" i="1"/>
  <c r="F8" i="1" s="1"/>
  <c r="E7" i="1"/>
  <c r="E6" i="1"/>
  <c r="E5" i="1"/>
  <c r="F5" i="1" s="1"/>
  <c r="T9" i="1"/>
  <c r="T8" i="1"/>
  <c r="T7" i="1"/>
  <c r="T6" i="1"/>
  <c r="R5" i="1"/>
  <c r="N9" i="1"/>
  <c r="N8" i="1"/>
  <c r="N7" i="1"/>
  <c r="L6" i="1"/>
  <c r="L5" i="1"/>
  <c r="F7" i="1"/>
  <c r="H7" i="1" s="1"/>
  <c r="F6" i="1"/>
  <c r="H6" i="1" s="1"/>
  <c r="S21" i="1"/>
  <c r="T21" i="1" s="1"/>
  <c r="S20" i="1"/>
  <c r="T20" i="1" s="1"/>
  <c r="M21" i="1"/>
  <c r="N21" i="1" s="1"/>
  <c r="M20" i="1"/>
  <c r="N20" i="1" s="1"/>
  <c r="G21" i="1"/>
  <c r="H21" i="1" s="1"/>
  <c r="G20" i="1"/>
  <c r="H20" i="1" s="1"/>
  <c r="M10" i="1"/>
  <c r="N10" i="1" s="1"/>
  <c r="M11" i="1"/>
  <c r="M12" i="1"/>
  <c r="N12" i="1" s="1"/>
  <c r="M13" i="1"/>
  <c r="N13" i="1" s="1"/>
  <c r="M15" i="1"/>
  <c r="M16" i="1"/>
  <c r="N16" i="1" s="1"/>
  <c r="M17" i="1"/>
  <c r="M18" i="1"/>
  <c r="M19" i="1"/>
  <c r="S10" i="1"/>
  <c r="S11" i="1"/>
  <c r="S19" i="1"/>
  <c r="S18" i="1"/>
  <c r="S17" i="1"/>
  <c r="S16" i="1"/>
  <c r="S15" i="1"/>
  <c r="T15" i="1" s="1"/>
  <c r="S14" i="1"/>
  <c r="S13" i="1"/>
  <c r="S12" i="1"/>
  <c r="C5" i="1"/>
  <c r="G19" i="1"/>
  <c r="H19" i="1" s="1"/>
  <c r="G18" i="1"/>
  <c r="G17" i="1"/>
  <c r="G16" i="1"/>
  <c r="G15" i="1"/>
  <c r="G14" i="1"/>
  <c r="G13" i="1"/>
  <c r="H13" i="1" s="1"/>
  <c r="G12" i="1"/>
  <c r="H12" i="1" s="1"/>
  <c r="G11" i="1"/>
  <c r="H11" i="1" s="1"/>
  <c r="G10" i="1"/>
  <c r="H10" i="1" s="1"/>
  <c r="H8" i="1" l="1"/>
  <c r="F22" i="1"/>
  <c r="L7" i="1"/>
  <c r="L8" i="1"/>
  <c r="R6" i="1"/>
  <c r="R7" i="1"/>
  <c r="R8" i="1"/>
  <c r="L9" i="1"/>
  <c r="N5" i="1"/>
  <c r="T5" i="1"/>
  <c r="H5" i="1"/>
  <c r="R9" i="1"/>
  <c r="N6" i="1"/>
  <c r="U21" i="1"/>
  <c r="U20" i="1"/>
  <c r="H15" i="1"/>
  <c r="N15" i="1"/>
  <c r="N17" i="1"/>
  <c r="H14" i="1"/>
  <c r="T19" i="1"/>
  <c r="H16" i="1"/>
  <c r="U14" i="1"/>
  <c r="T18" i="1"/>
  <c r="N19" i="1"/>
  <c r="N14" i="1"/>
  <c r="H17" i="1"/>
  <c r="T16" i="1"/>
  <c r="H18" i="1"/>
  <c r="T17" i="1"/>
  <c r="N18" i="1"/>
  <c r="N11" i="1"/>
  <c r="U19" i="1"/>
  <c r="U5" i="1"/>
  <c r="T11" i="1"/>
  <c r="T14" i="1"/>
  <c r="T12" i="1"/>
  <c r="U13" i="1"/>
  <c r="T13" i="1"/>
  <c r="U16" i="1"/>
  <c r="U17" i="1"/>
  <c r="U18" i="1"/>
  <c r="T10" i="1"/>
  <c r="U12" i="1"/>
  <c r="U11" i="1"/>
  <c r="U10" i="1"/>
  <c r="U15" i="1"/>
  <c r="U7" i="1" l="1"/>
  <c r="R22" i="1"/>
  <c r="L22" i="1"/>
  <c r="E24" i="1" s="1"/>
  <c r="U8" i="1"/>
  <c r="U6" i="1"/>
  <c r="U9" i="1"/>
  <c r="U22" i="1" l="1"/>
  <c r="E25" i="1" s="1"/>
</calcChain>
</file>

<file path=xl/sharedStrings.xml><?xml version="1.0" encoding="utf-8"?>
<sst xmlns="http://schemas.openxmlformats.org/spreadsheetml/2006/main" count="66" uniqueCount="31">
  <si>
    <t>5-Year Accounting Transition Period</t>
  </si>
  <si>
    <t>Net Tax Liability</t>
  </si>
  <si>
    <t>Tax Liability</t>
  </si>
  <si>
    <t>Year</t>
  </si>
  <si>
    <t>Fiscal Budget Impacts</t>
  </si>
  <si>
    <t>Copyright © 2025 by Mark W. McElroy, PhD</t>
  </si>
  <si>
    <t>20th Year</t>
  </si>
  <si>
    <t>30th Year</t>
  </si>
  <si>
    <t xml:space="preserve">Total 65-Year Credits </t>
  </si>
  <si>
    <t>First 10 Years of Pigouvian Credits In Use</t>
  </si>
  <si>
    <t>Free for public use with attribution under a Creative Commons Attribution-NonCommercial-ShareAlike 4.0 (CC BY-NC-SA 4.0) International License</t>
  </si>
  <si>
    <t>Legacy Tax</t>
  </si>
  <si>
    <t>Pigouvian Tax</t>
  </si>
  <si>
    <t>Amounts Shown are in Millions of              U.S. Dollars</t>
  </si>
  <si>
    <t>Stage</t>
  </si>
  <si>
    <r>
      <rPr>
        <b/>
        <i/>
        <sz val="14"/>
        <color rgb="FF002060"/>
        <rFont val="Calibri (Body)"/>
      </rPr>
      <t>Enterprise 1:</t>
    </r>
    <r>
      <rPr>
        <b/>
        <i/>
        <sz val="12"/>
        <color rgb="FF002060"/>
        <rFont val="Calibri (Body)"/>
      </rPr>
      <t xml:space="preserve"> </t>
    </r>
    <r>
      <rPr>
        <b/>
        <sz val="14"/>
        <color rgb="FF002060"/>
        <rFont val="Calibri (Body)"/>
      </rPr>
      <t>25%</t>
    </r>
    <r>
      <rPr>
        <b/>
        <sz val="12"/>
        <color rgb="FF002060"/>
        <rFont val="Calibri"/>
        <family val="2"/>
        <scheme val="minor"/>
      </rPr>
      <t xml:space="preserve"> Internalization After 10 Years</t>
    </r>
  </si>
  <si>
    <r>
      <rPr>
        <b/>
        <i/>
        <sz val="14"/>
        <color rgb="FF002060"/>
        <rFont val="Calibri (Body)"/>
      </rPr>
      <t>Enterprise 2:</t>
    </r>
    <r>
      <rPr>
        <b/>
        <sz val="12"/>
        <color rgb="FF002060"/>
        <rFont val="Calibri (Body)"/>
      </rPr>
      <t xml:space="preserve"> </t>
    </r>
    <r>
      <rPr>
        <b/>
        <sz val="14"/>
        <color rgb="FF002060"/>
        <rFont val="Calibri (Body)"/>
      </rPr>
      <t>50%</t>
    </r>
    <r>
      <rPr>
        <b/>
        <sz val="12"/>
        <color rgb="FF002060"/>
        <rFont val="Calibri"/>
        <family val="2"/>
        <scheme val="minor"/>
      </rPr>
      <t xml:space="preserve"> Internalization After 10 Years</t>
    </r>
  </si>
  <si>
    <r>
      <rPr>
        <b/>
        <i/>
        <sz val="14"/>
        <color rgb="FF002060"/>
        <rFont val="Calibri (Body)"/>
      </rPr>
      <t>Enterprise 3:</t>
    </r>
    <r>
      <rPr>
        <b/>
        <sz val="12"/>
        <color rgb="FF002060"/>
        <rFont val="Calibri (Body)"/>
      </rPr>
      <t xml:space="preserve"> </t>
    </r>
    <r>
      <rPr>
        <b/>
        <sz val="14"/>
        <color rgb="FF002060"/>
        <rFont val="Calibri (Body)"/>
      </rPr>
      <t>75%</t>
    </r>
    <r>
      <rPr>
        <b/>
        <sz val="12"/>
        <color rgb="FF002060"/>
        <rFont val="Calibri"/>
        <family val="2"/>
        <scheme val="minor"/>
      </rPr>
      <t xml:space="preserve"> Internalization After 10 Years</t>
    </r>
  </si>
  <si>
    <t>Accounting System  Transition Costs</t>
  </si>
  <si>
    <t>Pigouvian Tax Credits</t>
  </si>
  <si>
    <t>Actg. System</t>
  </si>
  <si>
    <t>Pigou. Taxes</t>
  </si>
  <si>
    <t>N/A</t>
  </si>
  <si>
    <t>Gov't &amp; Central Bank  Credits</t>
  </si>
  <si>
    <t xml:space="preserve">Total Central Bank Credits </t>
  </si>
  <si>
    <t xml:space="preserve">Total Fiscal (Gov't) Tax Credits </t>
  </si>
  <si>
    <t>National Debt</t>
  </si>
  <si>
    <t>Budget Deficits</t>
  </si>
  <si>
    <r>
      <t>N/A</t>
    </r>
    <r>
      <rPr>
        <vertAlign val="superscript"/>
        <sz val="12"/>
        <color theme="1"/>
        <rFont val="Calibri (Body)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</si>
  <si>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National debt in the U.S. and other monetary sovereigns is not "debt" in the the conventional sense. As a monetary sovereign, the U.S. can never run out of money. Only a failure by congress to raise the debt ceiling can cause loan defaults, albeit voluntary and unnecessary ones. Otherwise, national debt is just a running total of net credits to the U.S. gov't that can be erased at any time.</t>
    </r>
  </si>
  <si>
    <t>Hypothetical Illustration of Pigouvian Taxation in a 3-Company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</si>
</sst>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sz val="14"/>
      <color rgb="FF002060"/>
      <name val="Calibri (Body)"/>
    </font>
    <font>
      <b/>
      <i/>
      <sz val="12"/>
      <color rgb="FF002060"/>
      <name val="Calibri (Body)"/>
    </font>
    <font>
      <b/>
      <sz val="12"/>
      <color rgb="FF002060"/>
      <name val="Calibri (Body)"/>
    </font>
    <font>
      <b/>
      <sz val="14"/>
      <color rgb="FF002060"/>
      <name val="Calibri (Body)"/>
    </font>
    <font>
      <b/>
      <sz val="12"/>
      <color theme="1" tint="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i/>
      <sz val="10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8"/>
      <color theme="1" tint="0.249977111117893"/>
      <name val="Arial"/>
      <family val="2"/>
    </font>
    <font>
      <vertAlign val="superscript"/>
      <sz val="12"/>
      <color theme="1"/>
      <name val="Calibri (Body)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/>
      <bottom style="medium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499984740745262"/>
      </bottom>
      <diagonal/>
    </border>
    <border>
      <left/>
      <right style="medium">
        <color theme="1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/>
      <right style="medium">
        <color theme="1"/>
      </right>
      <top/>
      <bottom style="medium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499984740745262"/>
      </bottom>
      <diagonal/>
    </border>
    <border>
      <left style="thin">
        <color indexed="64"/>
      </left>
      <right style="medium">
        <color theme="1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/>
      </left>
      <right style="thin">
        <color indexed="64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/>
      </left>
      <right style="thin">
        <color indexed="64"/>
      </right>
      <top/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/>
      </right>
      <top style="medium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2" borderId="19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0" fontId="2" fillId="4" borderId="10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3" fillId="2" borderId="55" xfId="0" applyNumberFormat="1" applyFont="1" applyFill="1" applyBorder="1" applyAlignment="1">
      <alignment horizontal="center" vertical="center"/>
    </xf>
    <xf numFmtId="4" fontId="3" fillId="2" borderId="50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horizontal="center" vertical="center"/>
    </xf>
    <xf numFmtId="4" fontId="3" fillId="4" borderId="52" xfId="0" applyNumberFormat="1" applyFont="1" applyFill="1" applyBorder="1" applyAlignment="1">
      <alignment horizontal="center" vertical="center"/>
    </xf>
    <xf numFmtId="4" fontId="3" fillId="4" borderId="50" xfId="0" applyNumberFormat="1" applyFont="1" applyFill="1" applyBorder="1" applyAlignment="1">
      <alignment horizontal="center" vertical="center"/>
    </xf>
    <xf numFmtId="4" fontId="3" fillId="4" borderId="68" xfId="0" applyNumberFormat="1" applyFont="1" applyFill="1" applyBorder="1" applyAlignment="1">
      <alignment horizontal="center" vertical="center"/>
    </xf>
    <xf numFmtId="4" fontId="9" fillId="4" borderId="68" xfId="0" applyNumberFormat="1" applyFont="1" applyFill="1" applyBorder="1" applyAlignment="1">
      <alignment horizontal="center" vertical="center"/>
    </xf>
    <xf numFmtId="4" fontId="3" fillId="4" borderId="101" xfId="0" applyNumberFormat="1" applyFont="1" applyFill="1" applyBorder="1" applyAlignment="1">
      <alignment horizontal="center" vertical="center"/>
    </xf>
    <xf numFmtId="4" fontId="3" fillId="2" borderId="52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  <xf numFmtId="4" fontId="3" fillId="2" borderId="103" xfId="0" applyNumberFormat="1" applyFont="1" applyFill="1" applyBorder="1" applyAlignment="1">
      <alignment horizontal="center" vertical="center"/>
    </xf>
    <xf numFmtId="4" fontId="0" fillId="6" borderId="73" xfId="0" applyNumberFormat="1" applyFill="1" applyBorder="1" applyAlignment="1">
      <alignment horizontal="center" vertical="center"/>
    </xf>
    <xf numFmtId="4" fontId="0" fillId="6" borderId="1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4" fontId="3" fillId="4" borderId="14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3" fillId="4" borderId="98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104" xfId="0" applyNumberFormat="1" applyFont="1" applyFill="1" applyBorder="1" applyAlignment="1">
      <alignment horizontal="center" vertical="center"/>
    </xf>
    <xf numFmtId="4" fontId="0" fillId="6" borderId="74" xfId="0" applyNumberForma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9" fillId="2" borderId="106" xfId="0" applyNumberFormat="1" applyFont="1" applyFill="1" applyBorder="1" applyAlignment="1">
      <alignment horizontal="center" vertical="center"/>
    </xf>
    <xf numFmtId="4" fontId="3" fillId="2" borderId="54" xfId="0" applyNumberFormat="1" applyFont="1" applyFill="1" applyBorder="1" applyAlignment="1">
      <alignment horizontal="center" vertical="center"/>
    </xf>
    <xf numFmtId="4" fontId="3" fillId="2" borderId="27" xfId="0" applyNumberFormat="1" applyFont="1" applyFill="1" applyBorder="1" applyAlignment="1">
      <alignment horizontal="center" vertical="center"/>
    </xf>
    <xf numFmtId="4" fontId="9" fillId="2" borderId="27" xfId="0" applyNumberFormat="1" applyFont="1" applyFill="1" applyBorder="1" applyAlignment="1">
      <alignment horizontal="center" vertical="center"/>
    </xf>
    <xf numFmtId="4" fontId="3" fillId="2" borderId="28" xfId="0" applyNumberFormat="1" applyFont="1" applyFill="1" applyBorder="1" applyAlignment="1">
      <alignment horizontal="center" vertical="center"/>
    </xf>
    <xf numFmtId="4" fontId="3" fillId="4" borderId="26" xfId="0" applyNumberFormat="1" applyFont="1" applyFill="1" applyBorder="1" applyAlignment="1">
      <alignment horizontal="center" vertical="center"/>
    </xf>
    <xf numFmtId="4" fontId="3" fillId="4" borderId="27" xfId="0" applyNumberFormat="1" applyFont="1" applyFill="1" applyBorder="1" applyAlignment="1">
      <alignment horizontal="center" vertical="center"/>
    </xf>
    <xf numFmtId="4" fontId="3" fillId="4" borderId="30" xfId="0" applyNumberFormat="1" applyFont="1" applyFill="1" applyBorder="1" applyAlignment="1">
      <alignment horizontal="center" vertical="center"/>
    </xf>
    <xf numFmtId="4" fontId="3" fillId="4" borderId="102" xfId="0" applyNumberFormat="1" applyFont="1" applyFill="1" applyBorder="1" applyAlignment="1">
      <alignment horizontal="center" vertical="center"/>
    </xf>
    <xf numFmtId="4" fontId="9" fillId="4" borderId="27" xfId="0" applyNumberFormat="1" applyFont="1" applyFill="1" applyBorder="1" applyAlignment="1">
      <alignment horizontal="center" vertical="center"/>
    </xf>
    <xf numFmtId="4" fontId="3" fillId="4" borderId="99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 applyAlignment="1">
      <alignment horizontal="center" vertical="center"/>
    </xf>
    <xf numFmtId="4" fontId="3" fillId="2" borderId="30" xfId="0" applyNumberFormat="1" applyFont="1" applyFill="1" applyBorder="1" applyAlignment="1">
      <alignment horizontal="center" vertical="center"/>
    </xf>
    <xf numFmtId="4" fontId="3" fillId="2" borderId="105" xfId="0" applyNumberFormat="1" applyFont="1" applyFill="1" applyBorder="1" applyAlignment="1">
      <alignment horizontal="center" vertical="center"/>
    </xf>
    <xf numFmtId="4" fontId="0" fillId="6" borderId="47" xfId="0" applyNumberFormat="1" applyFill="1" applyBorder="1" applyAlignment="1">
      <alignment horizontal="center" vertical="center"/>
    </xf>
    <xf numFmtId="4" fontId="0" fillId="6" borderId="75" xfId="0" applyNumberFormat="1" applyFill="1" applyBorder="1" applyAlignment="1">
      <alignment horizontal="center" vertical="center"/>
    </xf>
    <xf numFmtId="4" fontId="3" fillId="2" borderId="56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4" fontId="3" fillId="4" borderId="17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4" fontId="0" fillId="6" borderId="38" xfId="0" applyNumberFormat="1" applyFill="1" applyBorder="1" applyAlignment="1">
      <alignment horizontal="center" vertical="center"/>
    </xf>
    <xf numFmtId="4" fontId="0" fillId="6" borderId="89" xfId="0" applyNumberForma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4" fontId="0" fillId="6" borderId="16" xfId="0" applyNumberFormat="1" applyFill="1" applyBorder="1" applyAlignment="1">
      <alignment horizontal="center" vertical="center"/>
    </xf>
    <xf numFmtId="4" fontId="3" fillId="4" borderId="79" xfId="0" applyNumberFormat="1" applyFont="1" applyFill="1" applyBorder="1" applyAlignment="1">
      <alignment horizontal="center" vertical="center"/>
    </xf>
    <xf numFmtId="4" fontId="3" fillId="4" borderId="77" xfId="0" applyNumberFormat="1" applyFont="1" applyFill="1" applyBorder="1" applyAlignment="1">
      <alignment horizontal="center" vertical="center"/>
    </xf>
    <xf numFmtId="4" fontId="3" fillId="4" borderId="78" xfId="0" applyNumberFormat="1" applyFont="1" applyFill="1" applyBorder="1" applyAlignment="1">
      <alignment horizontal="center" vertical="center"/>
    </xf>
    <xf numFmtId="4" fontId="3" fillId="2" borderId="79" xfId="0" applyNumberFormat="1" applyFont="1" applyFill="1" applyBorder="1" applyAlignment="1">
      <alignment horizontal="center" vertical="center"/>
    </xf>
    <xf numFmtId="4" fontId="3" fillId="2" borderId="77" xfId="0" applyNumberFormat="1" applyFont="1" applyFill="1" applyBorder="1" applyAlignment="1">
      <alignment horizontal="center" vertical="center"/>
    </xf>
    <xf numFmtId="4" fontId="3" fillId="2" borderId="80" xfId="0" applyNumberFormat="1" applyFont="1" applyFill="1" applyBorder="1" applyAlignment="1">
      <alignment horizontal="center" vertical="center"/>
    </xf>
    <xf numFmtId="4" fontId="0" fillId="6" borderId="40" xfId="0" applyNumberFormat="1" applyFill="1" applyBorder="1" applyAlignment="1">
      <alignment horizontal="center" vertical="center"/>
    </xf>
    <xf numFmtId="4" fontId="3" fillId="2" borderId="57" xfId="0" applyNumberFormat="1" applyFont="1" applyFill="1" applyBorder="1" applyAlignment="1">
      <alignment horizontal="center" vertical="center"/>
    </xf>
    <xf numFmtId="4" fontId="3" fillId="4" borderId="84" xfId="0" applyNumberFormat="1" applyFont="1" applyFill="1" applyBorder="1" applyAlignment="1">
      <alignment horizontal="center" vertical="center"/>
    </xf>
    <xf numFmtId="4" fontId="3" fillId="4" borderId="82" xfId="0" applyNumberFormat="1" applyFont="1" applyFill="1" applyBorder="1" applyAlignment="1">
      <alignment horizontal="center" vertical="center"/>
    </xf>
    <xf numFmtId="4" fontId="3" fillId="4" borderId="83" xfId="0" applyNumberFormat="1" applyFont="1" applyFill="1" applyBorder="1" applyAlignment="1">
      <alignment horizontal="center" vertical="center"/>
    </xf>
    <xf numFmtId="4" fontId="3" fillId="2" borderId="84" xfId="0" applyNumberFormat="1" applyFont="1" applyFill="1" applyBorder="1" applyAlignment="1">
      <alignment horizontal="center" vertical="center"/>
    </xf>
    <xf numFmtId="4" fontId="3" fillId="2" borderId="82" xfId="0" applyNumberFormat="1" applyFont="1" applyFill="1" applyBorder="1" applyAlignment="1">
      <alignment horizontal="center" vertical="center"/>
    </xf>
    <xf numFmtId="4" fontId="3" fillId="2" borderId="86" xfId="0" applyNumberFormat="1" applyFont="1" applyFill="1" applyBorder="1" applyAlignment="1">
      <alignment horizontal="center" vertical="center"/>
    </xf>
    <xf numFmtId="4" fontId="3" fillId="2" borderId="63" xfId="0" applyNumberFormat="1" applyFont="1" applyFill="1" applyBorder="1" applyAlignment="1">
      <alignment horizontal="center" vertical="center"/>
    </xf>
    <xf numFmtId="4" fontId="3" fillId="4" borderId="85" xfId="0" applyNumberFormat="1" applyFont="1" applyFill="1" applyBorder="1" applyAlignment="1">
      <alignment horizontal="center" vertical="center"/>
    </xf>
    <xf numFmtId="4" fontId="3" fillId="4" borderId="63" xfId="0" applyNumberFormat="1" applyFont="1" applyFill="1" applyBorder="1" applyAlignment="1">
      <alignment horizontal="center" vertical="center"/>
    </xf>
    <xf numFmtId="4" fontId="3" fillId="4" borderId="81" xfId="0" applyNumberFormat="1" applyFont="1" applyFill="1" applyBorder="1" applyAlignment="1">
      <alignment horizontal="center" vertical="center"/>
    </xf>
    <xf numFmtId="4" fontId="3" fillId="2" borderId="85" xfId="0" applyNumberFormat="1" applyFont="1" applyFill="1" applyBorder="1" applyAlignment="1">
      <alignment horizontal="center" vertical="center"/>
    </xf>
    <xf numFmtId="4" fontId="3" fillId="2" borderId="87" xfId="0" applyNumberFormat="1" applyFont="1" applyFill="1" applyBorder="1" applyAlignment="1">
      <alignment horizontal="center" vertical="center"/>
    </xf>
    <xf numFmtId="4" fontId="0" fillId="6" borderId="90" xfId="0" applyNumberFormat="1" applyFill="1" applyBorder="1" applyAlignment="1">
      <alignment horizontal="center" vertical="center"/>
    </xf>
    <xf numFmtId="4" fontId="0" fillId="6" borderId="88" xfId="0" applyNumberFormat="1" applyFill="1" applyBorder="1" applyAlignment="1">
      <alignment horizontal="center" vertical="center"/>
    </xf>
    <xf numFmtId="4" fontId="0" fillId="6" borderId="91" xfId="0" applyNumberFormat="1" applyFill="1" applyBorder="1" applyAlignment="1">
      <alignment horizontal="center" vertical="center"/>
    </xf>
    <xf numFmtId="4" fontId="3" fillId="2" borderId="48" xfId="0" applyNumberFormat="1" applyFont="1" applyFill="1" applyBorder="1" applyAlignment="1">
      <alignment horizontal="center" vertical="center"/>
    </xf>
    <xf numFmtId="4" fontId="3" fillId="2" borderId="88" xfId="0" applyNumberFormat="1" applyFont="1" applyFill="1" applyBorder="1" applyAlignment="1">
      <alignment horizontal="center" vertical="center"/>
    </xf>
    <xf numFmtId="4" fontId="3" fillId="2" borderId="62" xfId="0" applyNumberFormat="1" applyFont="1" applyFill="1" applyBorder="1" applyAlignment="1">
      <alignment horizontal="center" vertical="center"/>
    </xf>
    <xf numFmtId="4" fontId="0" fillId="6" borderId="76" xfId="0" applyNumberFormat="1" applyFill="1" applyBorder="1" applyAlignment="1">
      <alignment horizontal="center" vertical="center"/>
    </xf>
    <xf numFmtId="4" fontId="0" fillId="6" borderId="24" xfId="0" applyNumberFormat="1" applyFill="1" applyBorder="1" applyAlignment="1">
      <alignment horizontal="center" vertical="center"/>
    </xf>
    <xf numFmtId="4" fontId="0" fillId="6" borderId="49" xfId="0" applyNumberForma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97" xfId="0" applyBorder="1" applyAlignment="1">
      <alignment vertical="center"/>
    </xf>
    <xf numFmtId="4" fontId="3" fillId="2" borderId="68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2" borderId="89" xfId="0" applyNumberFormat="1" applyFont="1" applyFill="1" applyBorder="1" applyAlignment="1">
      <alignment horizontal="center" vertical="center"/>
    </xf>
    <xf numFmtId="4" fontId="3" fillId="6" borderId="32" xfId="0" applyNumberFormat="1" applyFont="1" applyFill="1" applyBorder="1" applyAlignment="1">
      <alignment horizontal="center" vertical="center"/>
    </xf>
    <xf numFmtId="4" fontId="3" fillId="6" borderId="95" xfId="0" applyNumberFormat="1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4" fillId="3" borderId="69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2" fillId="3" borderId="92" xfId="0" applyFont="1" applyFill="1" applyBorder="1" applyAlignment="1">
      <alignment horizontal="right" vertical="center"/>
    </xf>
    <xf numFmtId="0" fontId="12" fillId="3" borderId="82" xfId="0" applyFont="1" applyFill="1" applyBorder="1" applyAlignment="1">
      <alignment horizontal="right" vertical="center"/>
    </xf>
    <xf numFmtId="0" fontId="12" fillId="3" borderId="86" xfId="0" applyFont="1" applyFill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58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59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right" vertical="center"/>
    </xf>
    <xf numFmtId="0" fontId="12" fillId="3" borderId="34" xfId="0" applyFont="1" applyFill="1" applyBorder="1" applyAlignment="1">
      <alignment horizontal="right" vertical="center"/>
    </xf>
    <xf numFmtId="0" fontId="12" fillId="3" borderId="35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2" borderId="10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2" fillId="3" borderId="70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3" xfId="0" applyFont="1" applyFill="1" applyBorder="1" applyAlignment="1">
      <alignment horizontal="center" vertical="center" wrapText="1"/>
    </xf>
    <xf numFmtId="0" fontId="2" fillId="2" borderId="94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0" fillId="6" borderId="37" xfId="0" applyNumberFormat="1" applyFill="1" applyBorder="1" applyAlignment="1">
      <alignment horizontal="center" vertical="center"/>
    </xf>
    <xf numFmtId="4" fontId="0" fillId="6" borderId="39" xfId="0" applyNumberFormat="1" applyFill="1" applyBorder="1" applyAlignment="1">
      <alignment horizontal="center" vertical="center"/>
    </xf>
    <xf numFmtId="4" fontId="0" fillId="6" borderId="49" xfId="0" applyNumberFormat="1" applyFill="1" applyBorder="1" applyAlignment="1">
      <alignment horizontal="center" vertical="center"/>
    </xf>
    <xf numFmtId="4" fontId="0" fillId="6" borderId="108" xfId="0" applyNumberFormat="1" applyFill="1" applyBorder="1" applyAlignment="1">
      <alignment horizontal="center" vertical="center"/>
    </xf>
    <xf numFmtId="4" fontId="3" fillId="6" borderId="90" xfId="0" applyNumberFormat="1" applyFont="1" applyFill="1" applyBorder="1" applyAlignment="1">
      <alignment horizontal="center" vertical="center"/>
    </xf>
    <xf numFmtId="4" fontId="3" fillId="6" borderId="96" xfId="0" applyNumberFormat="1" applyFont="1" applyFill="1" applyBorder="1" applyAlignment="1">
      <alignment horizontal="center" vertical="center"/>
    </xf>
    <xf numFmtId="0" fontId="2" fillId="4" borderId="93" xfId="0" applyFont="1" applyFill="1" applyBorder="1" applyAlignment="1">
      <alignment horizontal="center" vertical="center" wrapText="1"/>
    </xf>
    <xf numFmtId="0" fontId="2" fillId="4" borderId="9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FEFF"/>
      <color rgb="FF011893"/>
      <color rgb="FF7A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AEC9-F096-E04D-91C4-1EDCBD25C1C8}">
  <sheetPr>
    <pageSetUpPr fitToPage="1"/>
  </sheetPr>
  <dimension ref="A1:W27"/>
  <sheetViews>
    <sheetView tabSelected="1" zoomScale="125" zoomScaleNormal="260" workbookViewId="0">
      <selection activeCell="X8" sqref="X8"/>
    </sheetView>
  </sheetViews>
  <sheetFormatPr baseColWidth="10" defaultRowHeight="16" x14ac:dyDescent="0.2"/>
  <cols>
    <col min="1" max="1" width="10.1640625" style="8" bestFit="1" customWidth="1"/>
    <col min="2" max="2" width="5.1640625" style="99" bestFit="1" customWidth="1"/>
    <col min="3" max="3" width="6.33203125" style="24" customWidth="1"/>
    <col min="4" max="4" width="8.83203125" style="24" customWidth="1"/>
    <col min="5" max="5" width="9.83203125" style="24" customWidth="1"/>
    <col min="6" max="6" width="6.83203125" style="24" customWidth="1"/>
    <col min="7" max="7" width="5.83203125" style="24" customWidth="1"/>
    <col min="8" max="8" width="7.33203125" style="24" customWidth="1"/>
    <col min="9" max="9" width="6.5" style="24" customWidth="1"/>
    <col min="10" max="10" width="9.1640625" style="24" customWidth="1"/>
    <col min="11" max="11" width="10.1640625" style="24" customWidth="1"/>
    <col min="12" max="12" width="6.83203125" style="24" customWidth="1"/>
    <col min="13" max="13" width="6.1640625" style="24" customWidth="1"/>
    <col min="14" max="14" width="7.83203125" style="24" customWidth="1"/>
    <col min="15" max="15" width="6.5" style="24" customWidth="1"/>
    <col min="16" max="16" width="9.1640625" style="24" customWidth="1"/>
    <col min="17" max="17" width="10.1640625" style="24" customWidth="1"/>
    <col min="18" max="18" width="6.83203125" style="24" customWidth="1"/>
    <col min="19" max="19" width="6.1640625" style="24" customWidth="1"/>
    <col min="20" max="20" width="7.83203125" style="24" customWidth="1"/>
    <col min="21" max="21" width="8" style="24" customWidth="1"/>
    <col min="22" max="22" width="7.33203125" style="24" customWidth="1"/>
    <col min="23" max="23" width="8.1640625" style="24" customWidth="1"/>
    <col min="24" max="16384" width="10.83203125" style="24"/>
  </cols>
  <sheetData>
    <row r="1" spans="1:23" s="8" customFormat="1" ht="29" customHeight="1" thickBot="1" x14ac:dyDescent="0.25">
      <c r="A1" s="134" t="s">
        <v>13</v>
      </c>
      <c r="B1" s="135"/>
      <c r="C1" s="117" t="s">
        <v>30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9"/>
      <c r="U1" s="114" t="s">
        <v>4</v>
      </c>
      <c r="V1" s="115"/>
      <c r="W1" s="116"/>
    </row>
    <row r="2" spans="1:23" s="8" customFormat="1" ht="29" customHeight="1" thickBot="1" x14ac:dyDescent="0.25">
      <c r="A2" s="136"/>
      <c r="B2" s="137"/>
      <c r="C2" s="151" t="s">
        <v>15</v>
      </c>
      <c r="D2" s="152"/>
      <c r="E2" s="152"/>
      <c r="F2" s="152"/>
      <c r="G2" s="152"/>
      <c r="H2" s="153"/>
      <c r="I2" s="154" t="s">
        <v>16</v>
      </c>
      <c r="J2" s="155"/>
      <c r="K2" s="155"/>
      <c r="L2" s="155"/>
      <c r="M2" s="155"/>
      <c r="N2" s="156"/>
      <c r="O2" s="157" t="s">
        <v>17</v>
      </c>
      <c r="P2" s="158"/>
      <c r="Q2" s="158"/>
      <c r="R2" s="158"/>
      <c r="S2" s="158"/>
      <c r="T2" s="158"/>
      <c r="U2" s="159" t="s">
        <v>23</v>
      </c>
      <c r="V2" s="179" t="s">
        <v>27</v>
      </c>
      <c r="W2" s="181" t="s">
        <v>26</v>
      </c>
    </row>
    <row r="3" spans="1:23" s="8" customFormat="1" ht="35" customHeight="1" x14ac:dyDescent="0.2">
      <c r="A3" s="138"/>
      <c r="B3" s="139"/>
      <c r="C3" s="162" t="s">
        <v>2</v>
      </c>
      <c r="D3" s="162"/>
      <c r="E3" s="145" t="s">
        <v>18</v>
      </c>
      <c r="F3" s="167" t="s">
        <v>19</v>
      </c>
      <c r="G3" s="168"/>
      <c r="H3" s="147" t="s">
        <v>1</v>
      </c>
      <c r="I3" s="163" t="s">
        <v>2</v>
      </c>
      <c r="J3" s="164"/>
      <c r="K3" s="129" t="s">
        <v>18</v>
      </c>
      <c r="L3" s="177" t="s">
        <v>19</v>
      </c>
      <c r="M3" s="178"/>
      <c r="N3" s="143" t="s">
        <v>1</v>
      </c>
      <c r="O3" s="165" t="s">
        <v>2</v>
      </c>
      <c r="P3" s="166"/>
      <c r="Q3" s="125" t="s">
        <v>18</v>
      </c>
      <c r="R3" s="167" t="s">
        <v>19</v>
      </c>
      <c r="S3" s="168"/>
      <c r="T3" s="125" t="s">
        <v>1</v>
      </c>
      <c r="U3" s="160"/>
      <c r="V3" s="180"/>
      <c r="W3" s="182"/>
    </row>
    <row r="4" spans="1:23" s="8" customFormat="1" ht="35" customHeight="1" thickBot="1" x14ac:dyDescent="0.25">
      <c r="A4" s="107" t="s">
        <v>14</v>
      </c>
      <c r="B4" s="108" t="s">
        <v>3</v>
      </c>
      <c r="C4" s="5" t="s">
        <v>11</v>
      </c>
      <c r="D4" s="1" t="s">
        <v>12</v>
      </c>
      <c r="E4" s="146"/>
      <c r="F4" s="6" t="s">
        <v>20</v>
      </c>
      <c r="G4" s="6" t="s">
        <v>21</v>
      </c>
      <c r="H4" s="148"/>
      <c r="I4" s="2" t="s">
        <v>11</v>
      </c>
      <c r="J4" s="3" t="s">
        <v>12</v>
      </c>
      <c r="K4" s="130"/>
      <c r="L4" s="7" t="s">
        <v>20</v>
      </c>
      <c r="M4" s="7" t="s">
        <v>21</v>
      </c>
      <c r="N4" s="144"/>
      <c r="O4" s="4" t="s">
        <v>11</v>
      </c>
      <c r="P4" s="1" t="s">
        <v>12</v>
      </c>
      <c r="Q4" s="126"/>
      <c r="R4" s="6" t="s">
        <v>20</v>
      </c>
      <c r="S4" s="6" t="s">
        <v>21</v>
      </c>
      <c r="T4" s="126"/>
      <c r="U4" s="161"/>
      <c r="V4" s="180"/>
      <c r="W4" s="182"/>
    </row>
    <row r="5" spans="1:23" x14ac:dyDescent="0.2">
      <c r="A5" s="120" t="s">
        <v>0</v>
      </c>
      <c r="B5" s="109">
        <v>2030</v>
      </c>
      <c r="C5" s="9">
        <f>10</f>
        <v>10</v>
      </c>
      <c r="D5" s="102">
        <v>0</v>
      </c>
      <c r="E5" s="104">
        <f>1500000*0.000001</f>
        <v>1.5</v>
      </c>
      <c r="F5" s="58">
        <f>E5</f>
        <v>1.5</v>
      </c>
      <c r="G5" s="12" t="s">
        <v>22</v>
      </c>
      <c r="H5" s="13">
        <f>SUM(C5:E5)-F5</f>
        <v>10</v>
      </c>
      <c r="I5" s="14">
        <v>10</v>
      </c>
      <c r="J5" s="15">
        <v>0</v>
      </c>
      <c r="K5" s="16">
        <v>1.5</v>
      </c>
      <c r="L5" s="16">
        <f>K5</f>
        <v>1.5</v>
      </c>
      <c r="M5" s="17" t="s">
        <v>22</v>
      </c>
      <c r="N5" s="18">
        <f>SUM(I5:K5)-K5</f>
        <v>10</v>
      </c>
      <c r="O5" s="19">
        <v>10</v>
      </c>
      <c r="P5" s="10">
        <v>0</v>
      </c>
      <c r="Q5" s="10">
        <v>1.5</v>
      </c>
      <c r="R5" s="20">
        <f>Q5</f>
        <v>1.5</v>
      </c>
      <c r="S5" s="12" t="s">
        <v>22</v>
      </c>
      <c r="T5" s="21">
        <f>SUM(O5:Q5)-Q5</f>
        <v>10</v>
      </c>
      <c r="U5" s="22">
        <f>F5+L5+R5</f>
        <v>4.5</v>
      </c>
      <c r="V5" s="23">
        <v>0</v>
      </c>
      <c r="W5" s="171" t="s">
        <v>28</v>
      </c>
    </row>
    <row r="6" spans="1:23" x14ac:dyDescent="0.2">
      <c r="A6" s="121"/>
      <c r="B6" s="109">
        <v>2031</v>
      </c>
      <c r="C6" s="25">
        <v>10.5</v>
      </c>
      <c r="D6" s="36">
        <v>0</v>
      </c>
      <c r="E6" s="103">
        <f t="shared" ref="E6:E9" si="0">1500000*0.000001</f>
        <v>1.5</v>
      </c>
      <c r="F6" s="25">
        <f>E6</f>
        <v>1.5</v>
      </c>
      <c r="G6" s="27" t="s">
        <v>22</v>
      </c>
      <c r="H6" s="28">
        <f>SUM(C6:E6)-F6</f>
        <v>10.5</v>
      </c>
      <c r="I6" s="29">
        <v>10.5</v>
      </c>
      <c r="J6" s="30">
        <v>0</v>
      </c>
      <c r="K6" s="31">
        <v>1.5</v>
      </c>
      <c r="L6" s="32">
        <f>K6</f>
        <v>1.5</v>
      </c>
      <c r="M6" s="33" t="s">
        <v>22</v>
      </c>
      <c r="N6" s="34">
        <f t="shared" ref="N6:N9" si="1">SUM(I6:K6)-K6</f>
        <v>10.5</v>
      </c>
      <c r="O6" s="35">
        <v>10.5</v>
      </c>
      <c r="P6" s="26">
        <v>0</v>
      </c>
      <c r="Q6" s="26">
        <v>1.5</v>
      </c>
      <c r="R6" s="36">
        <f>Q6</f>
        <v>1.5</v>
      </c>
      <c r="S6" s="27" t="s">
        <v>22</v>
      </c>
      <c r="T6" s="37">
        <f t="shared" ref="T6:T9" si="2">SUM(O6:Q6)-Q6</f>
        <v>10.5</v>
      </c>
      <c r="U6" s="38">
        <f>F6+L6+R6</f>
        <v>4.5</v>
      </c>
      <c r="V6" s="23">
        <v>0</v>
      </c>
      <c r="W6" s="172"/>
    </row>
    <row r="7" spans="1:23" x14ac:dyDescent="0.2">
      <c r="A7" s="121"/>
      <c r="B7" s="110">
        <v>2032</v>
      </c>
      <c r="C7" s="25">
        <v>11</v>
      </c>
      <c r="D7" s="36">
        <v>0</v>
      </c>
      <c r="E7" s="103">
        <f t="shared" si="0"/>
        <v>1.5</v>
      </c>
      <c r="F7" s="25">
        <f>E7</f>
        <v>1.5</v>
      </c>
      <c r="G7" s="27" t="s">
        <v>22</v>
      </c>
      <c r="H7" s="28">
        <f>SUM(C7:E7)-F7</f>
        <v>11</v>
      </c>
      <c r="I7" s="29">
        <v>11</v>
      </c>
      <c r="J7" s="30">
        <v>0</v>
      </c>
      <c r="K7" s="31">
        <v>1.5</v>
      </c>
      <c r="L7" s="32">
        <f>K7</f>
        <v>1.5</v>
      </c>
      <c r="M7" s="33" t="s">
        <v>22</v>
      </c>
      <c r="N7" s="34">
        <f t="shared" si="1"/>
        <v>11</v>
      </c>
      <c r="O7" s="35">
        <v>11</v>
      </c>
      <c r="P7" s="26">
        <v>0</v>
      </c>
      <c r="Q7" s="26">
        <v>1.5</v>
      </c>
      <c r="R7" s="36">
        <f>Q7</f>
        <v>1.5</v>
      </c>
      <c r="S7" s="27" t="s">
        <v>22</v>
      </c>
      <c r="T7" s="37">
        <f t="shared" si="2"/>
        <v>11</v>
      </c>
      <c r="U7" s="38">
        <f>F7+L7+R7</f>
        <v>4.5</v>
      </c>
      <c r="V7" s="23">
        <v>0</v>
      </c>
      <c r="W7" s="172"/>
    </row>
    <row r="8" spans="1:23" x14ac:dyDescent="0.2">
      <c r="A8" s="121"/>
      <c r="B8" s="110">
        <v>2033</v>
      </c>
      <c r="C8" s="39">
        <v>11.5</v>
      </c>
      <c r="D8" s="36">
        <v>0</v>
      </c>
      <c r="E8" s="103">
        <f t="shared" si="0"/>
        <v>1.5</v>
      </c>
      <c r="F8" s="25">
        <f>E8</f>
        <v>1.5</v>
      </c>
      <c r="G8" s="40" t="s">
        <v>22</v>
      </c>
      <c r="H8" s="28">
        <f>SUM(C8:E8)-F8</f>
        <v>11.5</v>
      </c>
      <c r="I8" s="29">
        <v>11.5</v>
      </c>
      <c r="J8" s="30">
        <v>0</v>
      </c>
      <c r="K8" s="31">
        <v>1.5</v>
      </c>
      <c r="L8" s="32">
        <f>K8</f>
        <v>1.5</v>
      </c>
      <c r="M8" s="41" t="s">
        <v>22</v>
      </c>
      <c r="N8" s="34">
        <f t="shared" si="1"/>
        <v>11.5</v>
      </c>
      <c r="O8" s="35">
        <v>11.5</v>
      </c>
      <c r="P8" s="26">
        <v>0</v>
      </c>
      <c r="Q8" s="26">
        <v>1.5</v>
      </c>
      <c r="R8" s="36">
        <f>Q8</f>
        <v>1.5</v>
      </c>
      <c r="S8" s="42" t="s">
        <v>22</v>
      </c>
      <c r="T8" s="37">
        <f t="shared" si="2"/>
        <v>11.5</v>
      </c>
      <c r="U8" s="38">
        <f>F8+L8+R8</f>
        <v>4.5</v>
      </c>
      <c r="V8" s="23">
        <v>0</v>
      </c>
      <c r="W8" s="172"/>
    </row>
    <row r="9" spans="1:23" ht="17" thickBot="1" x14ac:dyDescent="0.25">
      <c r="A9" s="122"/>
      <c r="B9" s="111">
        <v>2034</v>
      </c>
      <c r="C9" s="43">
        <v>12</v>
      </c>
      <c r="D9" s="44">
        <v>0</v>
      </c>
      <c r="E9" s="82">
        <f t="shared" si="0"/>
        <v>1.5</v>
      </c>
      <c r="F9" s="44">
        <f>E9</f>
        <v>1.5</v>
      </c>
      <c r="G9" s="45" t="s">
        <v>22</v>
      </c>
      <c r="H9" s="46">
        <f>SUM(C9:E9)-F9</f>
        <v>12</v>
      </c>
      <c r="I9" s="47">
        <v>12</v>
      </c>
      <c r="J9" s="48">
        <v>0</v>
      </c>
      <c r="K9" s="49">
        <v>1.5</v>
      </c>
      <c r="L9" s="50">
        <f>K9</f>
        <v>1.5</v>
      </c>
      <c r="M9" s="51" t="s">
        <v>22</v>
      </c>
      <c r="N9" s="52">
        <f t="shared" si="1"/>
        <v>12</v>
      </c>
      <c r="O9" s="53">
        <v>12</v>
      </c>
      <c r="P9" s="44">
        <v>0</v>
      </c>
      <c r="Q9" s="44">
        <v>1.5</v>
      </c>
      <c r="R9" s="54">
        <f>Q9</f>
        <v>1.5</v>
      </c>
      <c r="S9" s="45" t="s">
        <v>22</v>
      </c>
      <c r="T9" s="55">
        <f t="shared" si="2"/>
        <v>12</v>
      </c>
      <c r="U9" s="56">
        <f>F9+L9+R9</f>
        <v>4.5</v>
      </c>
      <c r="V9" s="57">
        <v>0</v>
      </c>
      <c r="W9" s="173"/>
    </row>
    <row r="10" spans="1:23" ht="16" customHeight="1" x14ac:dyDescent="0.2">
      <c r="A10" s="149" t="s">
        <v>9</v>
      </c>
      <c r="B10" s="109">
        <v>2035</v>
      </c>
      <c r="C10" s="58">
        <v>12.5</v>
      </c>
      <c r="D10" s="11">
        <v>50</v>
      </c>
      <c r="E10" s="11">
        <f>1000000*0.000001</f>
        <v>1</v>
      </c>
      <c r="F10" s="11">
        <v>0</v>
      </c>
      <c r="G10" s="11">
        <f>D10*0.025</f>
        <v>1.25</v>
      </c>
      <c r="H10" s="59">
        <f>(C10+D10)-G10</f>
        <v>61.25</v>
      </c>
      <c r="I10" s="60">
        <v>12.5</v>
      </c>
      <c r="J10" s="61">
        <v>50</v>
      </c>
      <c r="K10" s="61">
        <v>1</v>
      </c>
      <c r="L10" s="61">
        <v>0</v>
      </c>
      <c r="M10" s="61">
        <f>J10*0.05</f>
        <v>2.5</v>
      </c>
      <c r="N10" s="62">
        <f>(I10+J10)-M10</f>
        <v>60</v>
      </c>
      <c r="O10" s="63">
        <v>12.5</v>
      </c>
      <c r="P10" s="11">
        <v>50</v>
      </c>
      <c r="Q10" s="11">
        <v>1</v>
      </c>
      <c r="R10" s="11">
        <v>0</v>
      </c>
      <c r="S10" s="11">
        <f>P10*0.075</f>
        <v>3.75</v>
      </c>
      <c r="T10" s="20">
        <f>(O10+P10)-S10</f>
        <v>58.75</v>
      </c>
      <c r="U10" s="64">
        <f t="shared" ref="U10:U19" si="3">G10+M10+S10</f>
        <v>7.5</v>
      </c>
      <c r="V10" s="65">
        <v>0</v>
      </c>
      <c r="W10" s="174" t="s">
        <v>28</v>
      </c>
    </row>
    <row r="11" spans="1:23" x14ac:dyDescent="0.2">
      <c r="A11" s="121"/>
      <c r="B11" s="110">
        <v>2036</v>
      </c>
      <c r="C11" s="25">
        <v>13.5</v>
      </c>
      <c r="D11" s="26">
        <v>52</v>
      </c>
      <c r="E11" s="11">
        <f>1100000*0.000001</f>
        <v>1.0999999999999999</v>
      </c>
      <c r="F11" s="11">
        <v>0</v>
      </c>
      <c r="G11" s="26">
        <f>D11*0.05</f>
        <v>2.6</v>
      </c>
      <c r="H11" s="28">
        <f t="shared" ref="H11:H21" si="4">(C11+D11)-G11</f>
        <v>62.9</v>
      </c>
      <c r="I11" s="29">
        <v>13.5</v>
      </c>
      <c r="J11" s="30">
        <v>52</v>
      </c>
      <c r="K11" s="30">
        <v>1.0999999999999999</v>
      </c>
      <c r="L11" s="30">
        <v>0</v>
      </c>
      <c r="M11" s="30">
        <f>J11*0.1</f>
        <v>5.2</v>
      </c>
      <c r="N11" s="66">
        <f t="shared" ref="N11:N21" si="5">(I11+J11)-M11</f>
        <v>60.3</v>
      </c>
      <c r="O11" s="35">
        <v>13.5</v>
      </c>
      <c r="P11" s="26">
        <v>52</v>
      </c>
      <c r="Q11" s="26">
        <v>1.0999999999999999</v>
      </c>
      <c r="R11" s="26">
        <v>0</v>
      </c>
      <c r="S11" s="26">
        <f>P11*0.15</f>
        <v>7.8</v>
      </c>
      <c r="T11" s="36">
        <f t="shared" ref="T11:T19" si="6">(O11+P11)-S11</f>
        <v>57.7</v>
      </c>
      <c r="U11" s="38">
        <f t="shared" si="3"/>
        <v>15.600000000000001</v>
      </c>
      <c r="V11" s="67">
        <v>0</v>
      </c>
      <c r="W11" s="172"/>
    </row>
    <row r="12" spans="1:23" x14ac:dyDescent="0.2">
      <c r="A12" s="121"/>
      <c r="B12" s="109">
        <v>2037</v>
      </c>
      <c r="C12" s="25">
        <v>14</v>
      </c>
      <c r="D12" s="26">
        <v>54</v>
      </c>
      <c r="E12" s="11">
        <f>1200000*0.000001</f>
        <v>1.2</v>
      </c>
      <c r="F12" s="11">
        <v>0</v>
      </c>
      <c r="G12" s="26">
        <f>D12*0.075</f>
        <v>4.05</v>
      </c>
      <c r="H12" s="28">
        <f t="shared" si="4"/>
        <v>63.95</v>
      </c>
      <c r="I12" s="29">
        <v>14</v>
      </c>
      <c r="J12" s="30">
        <v>54</v>
      </c>
      <c r="K12" s="30">
        <v>1.2</v>
      </c>
      <c r="L12" s="30">
        <v>0</v>
      </c>
      <c r="M12" s="30">
        <f>J12*0.15</f>
        <v>8.1</v>
      </c>
      <c r="N12" s="66">
        <f t="shared" si="5"/>
        <v>59.9</v>
      </c>
      <c r="O12" s="35">
        <v>14</v>
      </c>
      <c r="P12" s="26">
        <v>54</v>
      </c>
      <c r="Q12" s="26">
        <v>1.2</v>
      </c>
      <c r="R12" s="26">
        <v>0</v>
      </c>
      <c r="S12" s="26">
        <f>P12*0.225</f>
        <v>12.15</v>
      </c>
      <c r="T12" s="36">
        <f t="shared" si="6"/>
        <v>55.85</v>
      </c>
      <c r="U12" s="38">
        <f t="shared" si="3"/>
        <v>24.299999999999997</v>
      </c>
      <c r="V12" s="23">
        <v>0</v>
      </c>
      <c r="W12" s="172"/>
    </row>
    <row r="13" spans="1:23" x14ac:dyDescent="0.2">
      <c r="A13" s="121"/>
      <c r="B13" s="109">
        <v>2038</v>
      </c>
      <c r="C13" s="25">
        <v>14.5</v>
      </c>
      <c r="D13" s="26">
        <v>56</v>
      </c>
      <c r="E13" s="11">
        <f>1300000*0.000001</f>
        <v>1.3</v>
      </c>
      <c r="F13" s="11">
        <v>0</v>
      </c>
      <c r="G13" s="26">
        <f>D13*0.1</f>
        <v>5.6000000000000005</v>
      </c>
      <c r="H13" s="28">
        <f t="shared" si="4"/>
        <v>64.900000000000006</v>
      </c>
      <c r="I13" s="29">
        <v>14.5</v>
      </c>
      <c r="J13" s="30">
        <v>56</v>
      </c>
      <c r="K13" s="30">
        <v>1.3</v>
      </c>
      <c r="L13" s="30">
        <v>0</v>
      </c>
      <c r="M13" s="30">
        <f>J13*0.2</f>
        <v>11.200000000000001</v>
      </c>
      <c r="N13" s="66">
        <f t="shared" si="5"/>
        <v>59.3</v>
      </c>
      <c r="O13" s="35">
        <v>14.5</v>
      </c>
      <c r="P13" s="26">
        <v>56</v>
      </c>
      <c r="Q13" s="26">
        <v>1.3</v>
      </c>
      <c r="R13" s="26">
        <v>0</v>
      </c>
      <c r="S13" s="26">
        <f>P13*0.3</f>
        <v>16.8</v>
      </c>
      <c r="T13" s="36">
        <f t="shared" si="6"/>
        <v>53.7</v>
      </c>
      <c r="U13" s="38">
        <f t="shared" si="3"/>
        <v>33.6</v>
      </c>
      <c r="V13" s="67">
        <v>0</v>
      </c>
      <c r="W13" s="172"/>
    </row>
    <row r="14" spans="1:23" x14ac:dyDescent="0.2">
      <c r="A14" s="121"/>
      <c r="B14" s="109">
        <v>2039</v>
      </c>
      <c r="C14" s="25">
        <v>15</v>
      </c>
      <c r="D14" s="26">
        <v>58</v>
      </c>
      <c r="E14" s="11">
        <f>1400000*0.000001</f>
        <v>1.4</v>
      </c>
      <c r="F14" s="11">
        <v>0</v>
      </c>
      <c r="G14" s="26">
        <f>D14*0.125</f>
        <v>7.25</v>
      </c>
      <c r="H14" s="28">
        <f t="shared" si="4"/>
        <v>65.75</v>
      </c>
      <c r="I14" s="29">
        <v>15</v>
      </c>
      <c r="J14" s="30">
        <v>58</v>
      </c>
      <c r="K14" s="30">
        <v>1.4</v>
      </c>
      <c r="L14" s="30">
        <v>0</v>
      </c>
      <c r="M14" s="30">
        <f>J14*0.25</f>
        <v>14.5</v>
      </c>
      <c r="N14" s="66">
        <f t="shared" si="5"/>
        <v>58.5</v>
      </c>
      <c r="O14" s="35">
        <v>15</v>
      </c>
      <c r="P14" s="26">
        <v>58</v>
      </c>
      <c r="Q14" s="26">
        <v>1.4</v>
      </c>
      <c r="R14" s="26">
        <v>0</v>
      </c>
      <c r="S14" s="26">
        <f>P14*0.375</f>
        <v>21.75</v>
      </c>
      <c r="T14" s="36">
        <f t="shared" si="6"/>
        <v>51.25</v>
      </c>
      <c r="U14" s="38">
        <f t="shared" si="3"/>
        <v>43.5</v>
      </c>
      <c r="V14" s="23">
        <v>0</v>
      </c>
      <c r="W14" s="172"/>
    </row>
    <row r="15" spans="1:23" x14ac:dyDescent="0.2">
      <c r="A15" s="121"/>
      <c r="B15" s="109">
        <v>2040</v>
      </c>
      <c r="C15" s="25">
        <v>15.5</v>
      </c>
      <c r="D15" s="26">
        <v>60</v>
      </c>
      <c r="E15" s="11">
        <f>1500000*0.000001</f>
        <v>1.5</v>
      </c>
      <c r="F15" s="11">
        <v>0</v>
      </c>
      <c r="G15" s="26">
        <f>D15*0.15</f>
        <v>9</v>
      </c>
      <c r="H15" s="28">
        <f t="shared" si="4"/>
        <v>66.5</v>
      </c>
      <c r="I15" s="29">
        <v>15.5</v>
      </c>
      <c r="J15" s="30">
        <v>60</v>
      </c>
      <c r="K15" s="30">
        <v>1.5</v>
      </c>
      <c r="L15" s="30">
        <v>0</v>
      </c>
      <c r="M15" s="30">
        <f>J15*0.3</f>
        <v>18</v>
      </c>
      <c r="N15" s="66">
        <f t="shared" si="5"/>
        <v>57.5</v>
      </c>
      <c r="O15" s="35">
        <v>15.5</v>
      </c>
      <c r="P15" s="26">
        <v>60</v>
      </c>
      <c r="Q15" s="26">
        <v>1.5</v>
      </c>
      <c r="R15" s="26">
        <v>0</v>
      </c>
      <c r="S15" s="26">
        <f>P15*0.45</f>
        <v>27</v>
      </c>
      <c r="T15" s="36">
        <f t="shared" si="6"/>
        <v>48.5</v>
      </c>
      <c r="U15" s="38">
        <f t="shared" si="3"/>
        <v>54</v>
      </c>
      <c r="V15" s="23">
        <v>0</v>
      </c>
      <c r="W15" s="172"/>
    </row>
    <row r="16" spans="1:23" x14ac:dyDescent="0.2">
      <c r="A16" s="121"/>
      <c r="B16" s="109">
        <v>2041</v>
      </c>
      <c r="C16" s="25">
        <v>16</v>
      </c>
      <c r="D16" s="26">
        <v>62</v>
      </c>
      <c r="E16" s="11">
        <f>1600000*0.000001</f>
        <v>1.5999999999999999</v>
      </c>
      <c r="F16" s="11">
        <v>0</v>
      </c>
      <c r="G16" s="26">
        <f>D16*0.175</f>
        <v>10.85</v>
      </c>
      <c r="H16" s="28">
        <f t="shared" si="4"/>
        <v>67.150000000000006</v>
      </c>
      <c r="I16" s="29">
        <v>16</v>
      </c>
      <c r="J16" s="30">
        <v>62</v>
      </c>
      <c r="K16" s="30">
        <v>1.5999999999999999</v>
      </c>
      <c r="L16" s="30">
        <v>0</v>
      </c>
      <c r="M16" s="30">
        <f>J16*0.35</f>
        <v>21.7</v>
      </c>
      <c r="N16" s="66">
        <f t="shared" si="5"/>
        <v>56.3</v>
      </c>
      <c r="O16" s="35">
        <v>16</v>
      </c>
      <c r="P16" s="26">
        <v>62</v>
      </c>
      <c r="Q16" s="26">
        <v>1.5999999999999999</v>
      </c>
      <c r="R16" s="26">
        <v>0</v>
      </c>
      <c r="S16" s="26">
        <f>P16*0.525</f>
        <v>32.550000000000004</v>
      </c>
      <c r="T16" s="36">
        <f t="shared" si="6"/>
        <v>45.449999999999996</v>
      </c>
      <c r="U16" s="38">
        <f t="shared" si="3"/>
        <v>65.099999999999994</v>
      </c>
      <c r="V16" s="23">
        <v>0</v>
      </c>
      <c r="W16" s="172"/>
    </row>
    <row r="17" spans="1:23" x14ac:dyDescent="0.2">
      <c r="A17" s="121"/>
      <c r="B17" s="110">
        <v>2042</v>
      </c>
      <c r="C17" s="25">
        <v>16.5</v>
      </c>
      <c r="D17" s="26">
        <v>64</v>
      </c>
      <c r="E17" s="11">
        <f>1700000*0.000001</f>
        <v>1.7</v>
      </c>
      <c r="F17" s="11">
        <v>0</v>
      </c>
      <c r="G17" s="26">
        <f>D17*0.2</f>
        <v>12.8</v>
      </c>
      <c r="H17" s="28">
        <f t="shared" si="4"/>
        <v>67.7</v>
      </c>
      <c r="I17" s="29">
        <v>16.5</v>
      </c>
      <c r="J17" s="30">
        <v>64</v>
      </c>
      <c r="K17" s="30">
        <v>1.7</v>
      </c>
      <c r="L17" s="30">
        <v>0</v>
      </c>
      <c r="M17" s="30">
        <f>J17*0.4</f>
        <v>25.6</v>
      </c>
      <c r="N17" s="66">
        <f t="shared" si="5"/>
        <v>54.9</v>
      </c>
      <c r="O17" s="35">
        <v>16.5</v>
      </c>
      <c r="P17" s="26">
        <v>64</v>
      </c>
      <c r="Q17" s="26">
        <v>1.7</v>
      </c>
      <c r="R17" s="26">
        <v>0</v>
      </c>
      <c r="S17" s="26">
        <f>P17*0.6</f>
        <v>38.4</v>
      </c>
      <c r="T17" s="36">
        <f t="shared" si="6"/>
        <v>42.1</v>
      </c>
      <c r="U17" s="38">
        <f t="shared" si="3"/>
        <v>76.800000000000011</v>
      </c>
      <c r="V17" s="23">
        <v>0</v>
      </c>
      <c r="W17" s="172"/>
    </row>
    <row r="18" spans="1:23" x14ac:dyDescent="0.2">
      <c r="A18" s="121"/>
      <c r="B18" s="109">
        <v>2043</v>
      </c>
      <c r="C18" s="25">
        <v>17</v>
      </c>
      <c r="D18" s="26">
        <v>66</v>
      </c>
      <c r="E18" s="11">
        <f>1800000*0.000001</f>
        <v>1.7999999999999998</v>
      </c>
      <c r="F18" s="11">
        <v>0</v>
      </c>
      <c r="G18" s="26">
        <f>D18*0.225</f>
        <v>14.85</v>
      </c>
      <c r="H18" s="28">
        <f t="shared" si="4"/>
        <v>68.150000000000006</v>
      </c>
      <c r="I18" s="68">
        <v>17</v>
      </c>
      <c r="J18" s="69">
        <v>66</v>
      </c>
      <c r="K18" s="69">
        <v>1.7999999999999998</v>
      </c>
      <c r="L18" s="69">
        <v>0</v>
      </c>
      <c r="M18" s="69">
        <f>J18*0.45</f>
        <v>29.7</v>
      </c>
      <c r="N18" s="70">
        <f t="shared" si="5"/>
        <v>53.3</v>
      </c>
      <c r="O18" s="71">
        <v>17</v>
      </c>
      <c r="P18" s="72">
        <v>66</v>
      </c>
      <c r="Q18" s="72">
        <v>1.7999999999999998</v>
      </c>
      <c r="R18" s="72">
        <v>0</v>
      </c>
      <c r="S18" s="72">
        <f>P18*0.675</f>
        <v>44.550000000000004</v>
      </c>
      <c r="T18" s="73">
        <f t="shared" si="6"/>
        <v>38.449999999999996</v>
      </c>
      <c r="U18" s="74">
        <f t="shared" si="3"/>
        <v>89.1</v>
      </c>
      <c r="V18" s="67">
        <v>0</v>
      </c>
      <c r="W18" s="172"/>
    </row>
    <row r="19" spans="1:23" ht="17" thickBot="1" x14ac:dyDescent="0.25">
      <c r="A19" s="150"/>
      <c r="B19" s="109">
        <v>2044</v>
      </c>
      <c r="C19" s="75">
        <v>17.5</v>
      </c>
      <c r="D19" s="75">
        <v>68</v>
      </c>
      <c r="E19" s="75">
        <f>1900000*0.000001</f>
        <v>1.9</v>
      </c>
      <c r="F19" s="75">
        <v>0</v>
      </c>
      <c r="G19" s="75">
        <f>D19*0.25</f>
        <v>17</v>
      </c>
      <c r="H19" s="75">
        <f t="shared" si="4"/>
        <v>68.5</v>
      </c>
      <c r="I19" s="76">
        <v>17.5</v>
      </c>
      <c r="J19" s="77">
        <v>68</v>
      </c>
      <c r="K19" s="77">
        <v>1.9</v>
      </c>
      <c r="L19" s="77">
        <v>0</v>
      </c>
      <c r="M19" s="77">
        <f>J19*0.5</f>
        <v>34</v>
      </c>
      <c r="N19" s="78">
        <f t="shared" si="5"/>
        <v>51.5</v>
      </c>
      <c r="O19" s="79">
        <v>17.5</v>
      </c>
      <c r="P19" s="80">
        <v>68</v>
      </c>
      <c r="Q19" s="80">
        <v>1.9</v>
      </c>
      <c r="R19" s="80">
        <v>0</v>
      </c>
      <c r="S19" s="80">
        <f>P19*0.75</f>
        <v>51</v>
      </c>
      <c r="T19" s="81">
        <f t="shared" si="6"/>
        <v>34.5</v>
      </c>
      <c r="U19" s="56">
        <f t="shared" si="3"/>
        <v>102</v>
      </c>
      <c r="V19" s="57">
        <v>0</v>
      </c>
      <c r="W19" s="173"/>
    </row>
    <row r="20" spans="1:23" ht="20" thickBot="1" x14ac:dyDescent="0.25">
      <c r="A20" s="112" t="s">
        <v>6</v>
      </c>
      <c r="B20" s="113">
        <v>2054</v>
      </c>
      <c r="C20" s="75">
        <v>30</v>
      </c>
      <c r="D20" s="44">
        <v>150</v>
      </c>
      <c r="E20" s="44">
        <f>3000000*0.000001</f>
        <v>3</v>
      </c>
      <c r="F20" s="82">
        <v>0</v>
      </c>
      <c r="G20" s="44">
        <f>D20*0.25*0.5</f>
        <v>18.75</v>
      </c>
      <c r="H20" s="44">
        <f t="shared" si="4"/>
        <v>161.25</v>
      </c>
      <c r="I20" s="83">
        <v>30</v>
      </c>
      <c r="J20" s="84">
        <v>150</v>
      </c>
      <c r="K20" s="84">
        <v>3</v>
      </c>
      <c r="L20" s="84">
        <v>0</v>
      </c>
      <c r="M20" s="84">
        <f>J20*0.5*0.5</f>
        <v>37.5</v>
      </c>
      <c r="N20" s="85">
        <f t="shared" si="5"/>
        <v>142.5</v>
      </c>
      <c r="O20" s="86">
        <v>30</v>
      </c>
      <c r="P20" s="82">
        <v>150</v>
      </c>
      <c r="Q20" s="82">
        <v>3</v>
      </c>
      <c r="R20" s="82">
        <v>0</v>
      </c>
      <c r="S20" s="82">
        <f>P20*0.75*0.5</f>
        <v>56.25</v>
      </c>
      <c r="T20" s="87">
        <f t="shared" ref="T20:T21" si="7">(O20+P20)-S20</f>
        <v>123.75</v>
      </c>
      <c r="U20" s="88">
        <f t="shared" ref="U20:U21" si="8">G20+M20+S20</f>
        <v>112.5</v>
      </c>
      <c r="V20" s="89">
        <v>0</v>
      </c>
      <c r="W20" s="90" t="s">
        <v>28</v>
      </c>
    </row>
    <row r="21" spans="1:23" ht="20" thickBot="1" x14ac:dyDescent="0.25">
      <c r="A21" s="112" t="s">
        <v>7</v>
      </c>
      <c r="B21" s="113">
        <v>2064</v>
      </c>
      <c r="C21" s="75">
        <v>40</v>
      </c>
      <c r="D21" s="44">
        <v>200</v>
      </c>
      <c r="E21" s="44">
        <f>4000000*0.000001</f>
        <v>4</v>
      </c>
      <c r="F21" s="44">
        <v>0</v>
      </c>
      <c r="G21" s="44">
        <f>D21*0.25*0.25</f>
        <v>12.5</v>
      </c>
      <c r="H21" s="44">
        <f t="shared" si="4"/>
        <v>227.5</v>
      </c>
      <c r="I21" s="47">
        <v>40</v>
      </c>
      <c r="J21" s="48">
        <v>200</v>
      </c>
      <c r="K21" s="48">
        <v>4</v>
      </c>
      <c r="L21" s="48">
        <v>0</v>
      </c>
      <c r="M21" s="48">
        <f>J21*0.5*0.25</f>
        <v>25</v>
      </c>
      <c r="N21" s="48">
        <f t="shared" si="5"/>
        <v>215</v>
      </c>
      <c r="O21" s="91">
        <v>40</v>
      </c>
      <c r="P21" s="92">
        <v>200</v>
      </c>
      <c r="Q21" s="92">
        <v>4</v>
      </c>
      <c r="R21" s="92">
        <v>0</v>
      </c>
      <c r="S21" s="92">
        <f>P21*0.75*0.25</f>
        <v>37.5</v>
      </c>
      <c r="T21" s="93">
        <f t="shared" si="7"/>
        <v>202.5</v>
      </c>
      <c r="U21" s="94">
        <f t="shared" si="8"/>
        <v>75</v>
      </c>
      <c r="V21" s="95">
        <v>0</v>
      </c>
      <c r="W21" s="96" t="s">
        <v>28</v>
      </c>
    </row>
    <row r="22" spans="1:23" ht="17" thickBot="1" x14ac:dyDescent="0.25">
      <c r="B22" s="8"/>
      <c r="C22" s="127" t="s">
        <v>8</v>
      </c>
      <c r="D22" s="128"/>
      <c r="E22" s="128"/>
      <c r="F22" s="175">
        <f>SUM(F5:F21)+SUM(G10:G21)</f>
        <v>124</v>
      </c>
      <c r="G22" s="176"/>
      <c r="H22" s="97"/>
      <c r="I22" s="127" t="s">
        <v>8</v>
      </c>
      <c r="J22" s="128"/>
      <c r="K22" s="128"/>
      <c r="L22" s="175">
        <f>SUM(L5:L21)+SUM(M10:M21)</f>
        <v>240.5</v>
      </c>
      <c r="M22" s="176"/>
      <c r="N22" s="97"/>
      <c r="O22" s="127" t="s">
        <v>8</v>
      </c>
      <c r="P22" s="128"/>
      <c r="Q22" s="128"/>
      <c r="R22" s="175">
        <f>SUM(R5:R21)+SUM(S10:S21)</f>
        <v>357</v>
      </c>
      <c r="S22" s="176"/>
      <c r="T22" s="98"/>
      <c r="U22" s="105">
        <f>SUM(U5:U21)</f>
        <v>721.5</v>
      </c>
      <c r="V22" s="99"/>
      <c r="W22" s="99"/>
    </row>
    <row r="23" spans="1:23" ht="17" thickBot="1" x14ac:dyDescent="0.25">
      <c r="A23" s="100"/>
      <c r="E23" s="101"/>
    </row>
    <row r="24" spans="1:23" ht="20" customHeight="1" thickBot="1" x14ac:dyDescent="0.25">
      <c r="A24" s="140" t="s">
        <v>25</v>
      </c>
      <c r="B24" s="141"/>
      <c r="C24" s="141"/>
      <c r="D24" s="142"/>
      <c r="E24" s="106">
        <f>F22+L22+R22</f>
        <v>721.5</v>
      </c>
      <c r="F24" s="169" t="s">
        <v>29</v>
      </c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</row>
    <row r="25" spans="1:23" ht="17" thickBot="1" x14ac:dyDescent="0.25">
      <c r="A25" s="131" t="s">
        <v>24</v>
      </c>
      <c r="B25" s="132"/>
      <c r="C25" s="132"/>
      <c r="D25" s="133"/>
      <c r="E25" s="106">
        <f>U22</f>
        <v>721.5</v>
      </c>
      <c r="F25" s="169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</row>
    <row r="26" spans="1:23" x14ac:dyDescent="0.2">
      <c r="G26" s="124" t="s">
        <v>5</v>
      </c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</row>
    <row r="27" spans="1:23" x14ac:dyDescent="0.2">
      <c r="G27" s="123" t="s">
        <v>10</v>
      </c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</sheetData>
  <mergeCells count="36">
    <mergeCell ref="F24:W25"/>
    <mergeCell ref="W5:W9"/>
    <mergeCell ref="W10:W19"/>
    <mergeCell ref="F22:G22"/>
    <mergeCell ref="L3:M3"/>
    <mergeCell ref="R3:S3"/>
    <mergeCell ref="R22:S22"/>
    <mergeCell ref="L22:M22"/>
    <mergeCell ref="V2:V4"/>
    <mergeCell ref="W2:W4"/>
    <mergeCell ref="A10:A19"/>
    <mergeCell ref="C2:H2"/>
    <mergeCell ref="I2:N2"/>
    <mergeCell ref="O2:T2"/>
    <mergeCell ref="U2:U4"/>
    <mergeCell ref="C3:D3"/>
    <mergeCell ref="I3:J3"/>
    <mergeCell ref="O3:P3"/>
    <mergeCell ref="Q3:Q4"/>
    <mergeCell ref="F3:G3"/>
    <mergeCell ref="U1:W1"/>
    <mergeCell ref="C1:T1"/>
    <mergeCell ref="A5:A9"/>
    <mergeCell ref="G27:W27"/>
    <mergeCell ref="G26:W26"/>
    <mergeCell ref="T3:T4"/>
    <mergeCell ref="I22:K22"/>
    <mergeCell ref="O22:Q22"/>
    <mergeCell ref="K3:K4"/>
    <mergeCell ref="A25:D25"/>
    <mergeCell ref="C22:E22"/>
    <mergeCell ref="A1:B3"/>
    <mergeCell ref="A24:D24"/>
    <mergeCell ref="N3:N4"/>
    <mergeCell ref="E3:E4"/>
    <mergeCell ref="H3:H4"/>
  </mergeCells>
  <pageMargins left="0.7" right="0.7" top="0.75" bottom="0.75" header="0.3" footer="0.3"/>
  <pageSetup scale="6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McElroy</dc:creator>
  <cp:lastModifiedBy>Mark McElroy</cp:lastModifiedBy>
  <dcterms:created xsi:type="dcterms:W3CDTF">2025-08-14T19:26:16Z</dcterms:created>
  <dcterms:modified xsi:type="dcterms:W3CDTF">2025-09-05T17:24:27Z</dcterms:modified>
</cp:coreProperties>
</file>